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40" yWindow="140" windowWidth="34160" windowHeight="20880" tabRatio="500" activeTab="1"/>
  </bookViews>
  <sheets>
    <sheet name="Все финансы" sheetId="1" r:id="rId1"/>
    <sheet name="Зимняя вода" sheetId="2" r:id="rId2"/>
  </sheets>
  <externalReferences>
    <externalReference r:id="rId3"/>
  </externalReferenc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14" i="1"/>
  <c r="L15"/>
  <c r="L16"/>
  <c r="L17"/>
  <c r="L18"/>
  <c r="L19"/>
  <c r="L20"/>
  <c r="L21"/>
  <c r="L22"/>
  <c r="L23"/>
  <c r="L13"/>
  <c r="L7"/>
  <c r="L8"/>
  <c r="L9"/>
  <c r="L6"/>
  <c r="K27"/>
  <c r="K33"/>
  <c r="K29"/>
  <c r="K32"/>
  <c r="K31"/>
  <c r="K4"/>
  <c r="K26"/>
  <c r="K24"/>
  <c r="H28"/>
  <c r="K23"/>
  <c r="H29"/>
  <c r="K22"/>
  <c r="C26"/>
  <c r="D26"/>
  <c r="H26"/>
  <c r="H43"/>
  <c r="K21"/>
  <c r="H39"/>
  <c r="C40"/>
  <c r="H40"/>
  <c r="F41"/>
  <c r="H41"/>
  <c r="K20"/>
  <c r="H27"/>
  <c r="H32"/>
  <c r="H33"/>
  <c r="H34"/>
  <c r="H35"/>
  <c r="C36"/>
  <c r="H36"/>
  <c r="H37"/>
  <c r="H38"/>
  <c r="H42"/>
  <c r="K19"/>
  <c r="B53"/>
  <c r="B4"/>
  <c r="B13"/>
  <c r="B19"/>
  <c r="B55"/>
  <c r="C4"/>
  <c r="C44"/>
  <c r="C53"/>
  <c r="C13"/>
  <c r="C15"/>
  <c r="C17"/>
  <c r="C19"/>
  <c r="C55"/>
  <c r="D4"/>
  <c r="D22"/>
  <c r="D44"/>
  <c r="D53"/>
  <c r="D13"/>
  <c r="D15"/>
  <c r="D17"/>
  <c r="D19"/>
  <c r="D55"/>
  <c r="E4"/>
  <c r="E22"/>
  <c r="E44"/>
  <c r="E53"/>
  <c r="E13"/>
  <c r="E15"/>
  <c r="E17"/>
  <c r="E19"/>
  <c r="E55"/>
  <c r="F4"/>
  <c r="F22"/>
  <c r="F44"/>
  <c r="F53"/>
  <c r="F13"/>
  <c r="F15"/>
  <c r="F19"/>
  <c r="F55"/>
  <c r="G4"/>
  <c r="G22"/>
  <c r="G44"/>
  <c r="G53"/>
  <c r="G13"/>
  <c r="G15"/>
  <c r="G17"/>
  <c r="G19"/>
  <c r="G55"/>
  <c r="H55"/>
  <c r="H53"/>
  <c r="H51"/>
  <c r="H50"/>
  <c r="H49"/>
  <c r="H48"/>
  <c r="H47"/>
  <c r="H46"/>
  <c r="H45"/>
  <c r="H44"/>
  <c r="H31"/>
  <c r="H30"/>
  <c r="H25"/>
  <c r="H24"/>
  <c r="H23"/>
  <c r="H22"/>
  <c r="H21"/>
  <c r="H20"/>
  <c r="H19"/>
  <c r="K18"/>
  <c r="H18"/>
  <c r="K17"/>
  <c r="H17"/>
  <c r="K16"/>
  <c r="H16"/>
  <c r="K15"/>
  <c r="H15"/>
  <c r="K14"/>
  <c r="K13"/>
  <c r="H13"/>
  <c r="H12"/>
  <c r="H11"/>
  <c r="H6"/>
  <c r="K6"/>
  <c r="K7"/>
  <c r="K8"/>
  <c r="H7"/>
  <c r="H8"/>
  <c r="H9"/>
  <c r="H10"/>
  <c r="K9"/>
  <c r="K10"/>
  <c r="H4"/>
  <c r="G12" i="2"/>
  <c r="G14"/>
  <c r="G16"/>
  <c r="F12"/>
  <c r="F16"/>
  <c r="E12"/>
  <c r="E14"/>
  <c r="E16"/>
  <c r="D12"/>
  <c r="D14"/>
  <c r="D16"/>
  <c r="C11"/>
  <c r="C12"/>
  <c r="C16"/>
  <c r="B12"/>
  <c r="B16"/>
  <c r="H16"/>
  <c r="H12"/>
  <c r="B8"/>
  <c r="B18"/>
  <c r="C4"/>
  <c r="C7"/>
  <c r="C8"/>
  <c r="C18"/>
  <c r="D4"/>
  <c r="D6"/>
  <c r="D8"/>
  <c r="D18"/>
  <c r="E4"/>
  <c r="E6"/>
  <c r="E8"/>
  <c r="E18"/>
  <c r="F4"/>
  <c r="F8"/>
  <c r="F18"/>
  <c r="G4"/>
  <c r="G6"/>
  <c r="G8"/>
  <c r="G18"/>
  <c r="H18"/>
  <c r="H15"/>
  <c r="H14"/>
  <c r="H13"/>
  <c r="H11"/>
  <c r="H8"/>
  <c r="H7"/>
  <c r="H6"/>
  <c r="H4"/>
</calcChain>
</file>

<file path=xl/sharedStrings.xml><?xml version="1.0" encoding="utf-8"?>
<sst xmlns="http://schemas.openxmlformats.org/spreadsheetml/2006/main" count="100" uniqueCount="91">
  <si>
    <t>Остаток средств на конец периода</t>
    <phoneticPr fontId="6" type="noConversion"/>
  </si>
  <si>
    <t>тыс.руб.</t>
    <phoneticPr fontId="6" type="noConversion"/>
  </si>
  <si>
    <t xml:space="preserve">Движение денежных средств фонда зимнего водопровода с 1 июля по 31 декабря 2018 г </t>
    <phoneticPr fontId="6" type="noConversion"/>
  </si>
  <si>
    <t>Взносы пользователей водопроводом</t>
    <phoneticPr fontId="6" type="noConversion"/>
  </si>
  <si>
    <t>Подключение новых пользователей</t>
    <phoneticPr fontId="6" type="noConversion"/>
  </si>
  <si>
    <t>в том числе средства на депозите</t>
    <phoneticPr fontId="6" type="noConversion"/>
  </si>
  <si>
    <t>в том числе средства водного фонда</t>
    <phoneticPr fontId="6" type="noConversion"/>
  </si>
  <si>
    <t xml:space="preserve">Покупка, ремонт и ТО техники, топливо </t>
    <phoneticPr fontId="6" type="noConversion"/>
  </si>
  <si>
    <t>Финансовые результаты деятельности СНТ Мирный с 1 июля по 31 декабря 2018 г.</t>
    <phoneticPr fontId="6" type="noConversion"/>
  </si>
  <si>
    <t>тыс.руб.</t>
    <phoneticPr fontId="6" type="noConversion"/>
  </si>
  <si>
    <t>Тариф, руб./год</t>
    <phoneticPr fontId="6" type="noConversion"/>
  </si>
  <si>
    <t>Переходящий остаток</t>
    <phoneticPr fontId="6" type="noConversion"/>
  </si>
  <si>
    <t>ДОХОДЫ</t>
    <phoneticPr fontId="6" type="noConversion"/>
  </si>
  <si>
    <t>ИТОГО ДОХОДЫ</t>
    <phoneticPr fontId="6" type="noConversion"/>
  </si>
  <si>
    <t xml:space="preserve">Зарплата </t>
    <phoneticPr fontId="6" type="noConversion"/>
  </si>
  <si>
    <t>Эл/энергия</t>
    <phoneticPr fontId="6" type="noConversion"/>
  </si>
  <si>
    <t>Соль</t>
    <phoneticPr fontId="6" type="noConversion"/>
  </si>
  <si>
    <t>Ремонт, закупки</t>
    <phoneticPr fontId="6" type="noConversion"/>
  </si>
  <si>
    <t>Тех обслуживание</t>
    <phoneticPr fontId="6" type="noConversion"/>
  </si>
  <si>
    <t>ИТОГО РАСХОДЫ</t>
    <phoneticPr fontId="6" type="noConversion"/>
  </si>
  <si>
    <t>ДОХОДЫ</t>
    <phoneticPr fontId="6" type="noConversion"/>
  </si>
  <si>
    <t>Членские взносы</t>
    <phoneticPr fontId="6" type="noConversion"/>
  </si>
  <si>
    <t>Дорожный фонд</t>
    <phoneticPr fontId="6" type="noConversion"/>
  </si>
  <si>
    <t>ИТОГО ДОХОДЫ</t>
    <phoneticPr fontId="6" type="noConversion"/>
  </si>
  <si>
    <t>РАСХОДЫ</t>
    <phoneticPr fontId="6" type="noConversion"/>
  </si>
  <si>
    <t>Вывоз мусора</t>
    <phoneticPr fontId="6" type="noConversion"/>
  </si>
  <si>
    <t>Зимний водопровод (без расходов на Э/Э)</t>
    <phoneticPr fontId="6" type="noConversion"/>
  </si>
  <si>
    <t>Админ-хоз. и прочие расходы</t>
    <phoneticPr fontId="6" type="noConversion"/>
  </si>
  <si>
    <t>Благоустройство территории</t>
    <phoneticPr fontId="6" type="noConversion"/>
  </si>
  <si>
    <t xml:space="preserve">Переходящий остаток на начало периода </t>
    <phoneticPr fontId="6" type="noConversion"/>
  </si>
  <si>
    <t>Таблицы Т.А.</t>
    <phoneticPr fontId="6" type="noConversion"/>
  </si>
  <si>
    <t>потребление э/э на зимний водопровод</t>
    <phoneticPr fontId="6" type="noConversion"/>
  </si>
  <si>
    <t>потребление э/э на общие нужды</t>
    <phoneticPr fontId="6" type="noConversion"/>
  </si>
  <si>
    <t xml:space="preserve">индивидуальное потребление  </t>
    <phoneticPr fontId="6" type="noConversion"/>
  </si>
  <si>
    <t>в том числе:</t>
    <phoneticPr fontId="6" type="noConversion"/>
  </si>
  <si>
    <t>ТО, ремонт подстанций</t>
    <phoneticPr fontId="6" type="noConversion"/>
  </si>
  <si>
    <t>Измельчение веток</t>
    <phoneticPr fontId="6" type="noConversion"/>
  </si>
  <si>
    <t>Зимняя вода ТО</t>
    <phoneticPr fontId="6" type="noConversion"/>
  </si>
  <si>
    <t>Подключения</t>
    <phoneticPr fontId="6" type="noConversion"/>
  </si>
  <si>
    <t xml:space="preserve">ФОТ </t>
    <phoneticPr fontId="6" type="noConversion"/>
  </si>
  <si>
    <t>Налоги на ЗП</t>
    <phoneticPr fontId="6" type="noConversion"/>
  </si>
  <si>
    <t xml:space="preserve">Земельный налог </t>
    <phoneticPr fontId="6" type="noConversion"/>
  </si>
  <si>
    <t xml:space="preserve">Благоустройство </t>
    <phoneticPr fontId="6" type="noConversion"/>
  </si>
  <si>
    <t>Обслуживание АСУ</t>
    <phoneticPr fontId="6" type="noConversion"/>
  </si>
  <si>
    <t>Ремонт дорог</t>
    <phoneticPr fontId="6" type="noConversion"/>
  </si>
  <si>
    <t>ТО летнего водопровода</t>
    <phoneticPr fontId="6" type="noConversion"/>
  </si>
  <si>
    <t>АДХ:</t>
    <phoneticPr fontId="6" type="noConversion"/>
  </si>
  <si>
    <t>Услуги банка</t>
    <phoneticPr fontId="6" type="noConversion"/>
  </si>
  <si>
    <t>Сот тел +цифра 1</t>
    <phoneticPr fontId="6" type="noConversion"/>
  </si>
  <si>
    <t>Страховка трактора</t>
    <phoneticPr fontId="6" type="noConversion"/>
  </si>
  <si>
    <t>Юридич услуги, суды</t>
    <phoneticPr fontId="6" type="noConversion"/>
  </si>
  <si>
    <t>Ремонт модемов, ЕГРН, нотариус</t>
    <phoneticPr fontId="6" type="noConversion"/>
  </si>
  <si>
    <t>Картридж, тумба, ламинатор</t>
    <phoneticPr fontId="6" type="noConversion"/>
  </si>
  <si>
    <t>Обучение электрика</t>
    <phoneticPr fontId="6" type="noConversion"/>
  </si>
  <si>
    <t>Ворота, лампа сигн, прожекторы</t>
    <phoneticPr fontId="6" type="noConversion"/>
  </si>
  <si>
    <t>Ремонт и обслуживание техники</t>
    <phoneticPr fontId="6" type="noConversion"/>
  </si>
  <si>
    <t>Солярка</t>
    <phoneticPr fontId="6" type="noConversion"/>
  </si>
  <si>
    <t>Возврат за газ</t>
    <phoneticPr fontId="6" type="noConversion"/>
  </si>
  <si>
    <t>Измельчение веток</t>
    <phoneticPr fontId="6" type="noConversion"/>
  </si>
  <si>
    <t>Зимняя вода</t>
    <phoneticPr fontId="6" type="noConversion"/>
  </si>
  <si>
    <t>ИП Журков (ошибочно оплатил дважды)</t>
    <phoneticPr fontId="6" type="noConversion"/>
  </si>
  <si>
    <t xml:space="preserve">Платежи Истринским сетям </t>
    <phoneticPr fontId="6" type="noConversion"/>
  </si>
  <si>
    <t>Справочно: э/э за зимнюю воду</t>
    <phoneticPr fontId="6" type="noConversion"/>
  </si>
  <si>
    <t>Справочно: э/э на общ нужды</t>
    <phoneticPr fontId="6" type="noConversion"/>
  </si>
  <si>
    <t>Установка эл. Сетей (новых)</t>
    <phoneticPr fontId="6" type="noConversion"/>
  </si>
  <si>
    <t>Депозит зимняя вода</t>
    <phoneticPr fontId="6" type="noConversion"/>
  </si>
  <si>
    <t>Установка счетчиков</t>
    <phoneticPr fontId="6" type="noConversion"/>
  </si>
  <si>
    <t>ИТОГО РАСХОДЫ</t>
    <phoneticPr fontId="6" type="noConversion"/>
  </si>
  <si>
    <t xml:space="preserve">Остаток средств на конец периода </t>
    <phoneticPr fontId="6" type="noConversion"/>
  </si>
  <si>
    <t>в том числе по Э/Э:</t>
    <phoneticPr fontId="6" type="noConversion"/>
  </si>
  <si>
    <t>потребление на общие нужды (оплата из чл взносов)</t>
    <phoneticPr fontId="6" type="noConversion"/>
  </si>
  <si>
    <t>индивидуальное потребление (оплачено потребителем)</t>
    <phoneticPr fontId="6" type="noConversion"/>
  </si>
  <si>
    <t>потребление  водопровода (оплата из водного фонда)</t>
    <phoneticPr fontId="6" type="noConversion"/>
  </si>
  <si>
    <t>Капстроительство</t>
    <phoneticPr fontId="6" type="noConversion"/>
  </si>
  <si>
    <t>Субботник</t>
    <phoneticPr fontId="6" type="noConversion"/>
  </si>
  <si>
    <t>Счетчик/генератор</t>
    <phoneticPr fontId="6" type="noConversion"/>
  </si>
  <si>
    <t>Копии+мусор</t>
    <phoneticPr fontId="6" type="noConversion"/>
  </si>
  <si>
    <t>Возврат фонда СС (мет.лом)</t>
    <phoneticPr fontId="6" type="noConversion"/>
  </si>
  <si>
    <t>Итого</t>
    <phoneticPr fontId="6" type="noConversion"/>
  </si>
  <si>
    <t>Электроэнергия</t>
    <phoneticPr fontId="6" type="noConversion"/>
  </si>
  <si>
    <t>Плата за зимний водопровод, подключения</t>
    <phoneticPr fontId="6" type="noConversion"/>
  </si>
  <si>
    <t>ФОТ и налоги з/плату</t>
    <phoneticPr fontId="6" type="noConversion"/>
  </si>
  <si>
    <t>Поддержание и развитие энергохозяйства</t>
    <phoneticPr fontId="6" type="noConversion"/>
  </si>
  <si>
    <t>ДОХОДЫ</t>
    <phoneticPr fontId="6" type="noConversion"/>
  </si>
  <si>
    <t>Членские взносы</t>
    <phoneticPr fontId="6" type="noConversion"/>
  </si>
  <si>
    <t>Плата за личное энергопотребление</t>
    <phoneticPr fontId="6" type="noConversion"/>
  </si>
  <si>
    <t>Иные поступления</t>
    <phoneticPr fontId="6" type="noConversion"/>
  </si>
  <si>
    <t>РАСХОДЫ</t>
    <phoneticPr fontId="6" type="noConversion"/>
  </si>
  <si>
    <t>Налог на земли общ польз</t>
    <phoneticPr fontId="6" type="noConversion"/>
  </si>
  <si>
    <t>Вывоз мусора</t>
    <phoneticPr fontId="6" type="noConversion"/>
  </si>
  <si>
    <t>Ремонт и ТО летнего водопровода</t>
    <phoneticPr fontId="6" type="noConversion"/>
  </si>
</sst>
</file>

<file path=xl/styles.xml><?xml version="1.0" encoding="utf-8"?>
<styleSheet xmlns="http://schemas.openxmlformats.org/spreadsheetml/2006/main">
  <numFmts count="9">
    <numFmt numFmtId="164" formatCode="0.0"/>
    <numFmt numFmtId="165" formatCode="0.000"/>
    <numFmt numFmtId="166" formatCode="0.00"/>
    <numFmt numFmtId="167" formatCode="0.000"/>
    <numFmt numFmtId="170" formatCode="0"/>
    <numFmt numFmtId="171" formatCode="0"/>
    <numFmt numFmtId="173" formatCode="0"/>
    <numFmt numFmtId="174" formatCode="0"/>
    <numFmt numFmtId="177" formatCode="0%"/>
  </numFmts>
  <fonts count="11"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4"/>
      <name val="Verdana"/>
    </font>
    <font>
      <b/>
      <sz val="11"/>
      <name val="Verdana"/>
    </font>
    <font>
      <b/>
      <sz val="12"/>
      <name val="Verdana"/>
    </font>
    <font>
      <sz val="12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wrapText="1" shrinkToFit="1"/>
    </xf>
    <xf numFmtId="0" fontId="4" fillId="0" borderId="4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wrapText="1" indent="1"/>
    </xf>
    <xf numFmtId="1" fontId="4" fillId="0" borderId="6" xfId="0" applyNumberFormat="1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5" xfId="0" applyBorder="1"/>
    <xf numFmtId="0" fontId="0" fillId="0" borderId="3" xfId="0" applyBorder="1" applyAlignment="1"/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17" fontId="4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/>
    <xf numFmtId="0" fontId="0" fillId="0" borderId="6" xfId="0" applyBorder="1"/>
    <xf numFmtId="0" fontId="5" fillId="0" borderId="6" xfId="0" applyFont="1" applyBorder="1"/>
    <xf numFmtId="2" fontId="5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ill="1" applyBorder="1"/>
    <xf numFmtId="2" fontId="0" fillId="0" borderId="0" xfId="0" applyNumberFormat="1"/>
    <xf numFmtId="2" fontId="8" fillId="0" borderId="6" xfId="0" applyNumberFormat="1" applyFont="1" applyBorder="1"/>
    <xf numFmtId="2" fontId="5" fillId="0" borderId="6" xfId="0" applyNumberFormat="1" applyFont="1" applyFill="1" applyBorder="1"/>
    <xf numFmtId="2" fontId="5" fillId="0" borderId="6" xfId="0" applyNumberFormat="1" applyFont="1" applyFill="1" applyBorder="1" applyAlignment="1">
      <alignment wrapText="1" shrinkToFit="1"/>
    </xf>
    <xf numFmtId="2" fontId="4" fillId="0" borderId="0" xfId="0" applyNumberFormat="1" applyFont="1" applyBorder="1" applyAlignment="1">
      <alignment wrapText="1"/>
    </xf>
    <xf numFmtId="2" fontId="5" fillId="0" borderId="5" xfId="0" applyNumberFormat="1" applyFont="1" applyBorder="1" applyAlignment="1">
      <alignment horizontal="left"/>
    </xf>
    <xf numFmtId="2" fontId="5" fillId="0" borderId="5" xfId="0" applyNumberFormat="1" applyFont="1" applyBorder="1" applyAlignment="1">
      <alignment horizontal="left" indent="1"/>
    </xf>
    <xf numFmtId="2" fontId="5" fillId="0" borderId="5" xfId="0" applyNumberFormat="1" applyFont="1" applyBorder="1" applyAlignment="1">
      <alignment horizontal="left" wrapText="1" indent="1"/>
    </xf>
    <xf numFmtId="0" fontId="5" fillId="0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2" fontId="5" fillId="0" borderId="6" xfId="0" applyNumberFormat="1" applyFont="1" applyBorder="1" applyAlignment="1">
      <alignment horizontal="left" indent="2"/>
    </xf>
    <xf numFmtId="0" fontId="0" fillId="0" borderId="6" xfId="0" applyBorder="1" applyAlignment="1">
      <alignment wrapText="1"/>
    </xf>
    <xf numFmtId="0" fontId="8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wrapText="1"/>
    </xf>
    <xf numFmtId="2" fontId="4" fillId="0" borderId="6" xfId="0" applyNumberFormat="1" applyFont="1" applyFill="1" applyBorder="1" applyAlignment="1">
      <alignment wrapText="1"/>
    </xf>
    <xf numFmtId="165" fontId="0" fillId="0" borderId="6" xfId="0" applyNumberFormat="1" applyBorder="1"/>
    <xf numFmtId="0" fontId="4" fillId="0" borderId="6" xfId="0" applyFont="1" applyBorder="1"/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wrapText="1" indent="1"/>
    </xf>
    <xf numFmtId="0" fontId="5" fillId="0" borderId="0" xfId="0" applyFont="1"/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" fontId="8" fillId="0" borderId="6" xfId="0" applyNumberFormat="1" applyFont="1" applyBorder="1"/>
    <xf numFmtId="0" fontId="5" fillId="0" borderId="6" xfId="0" applyFont="1" applyBorder="1" applyAlignment="1">
      <alignment horizontal="left" vertical="center" wrapText="1"/>
    </xf>
    <xf numFmtId="1" fontId="0" fillId="0" borderId="6" xfId="0" applyNumberFormat="1" applyBorder="1"/>
    <xf numFmtId="167" fontId="0" fillId="0" borderId="6" xfId="0" applyNumberFormat="1" applyBorder="1"/>
    <xf numFmtId="171" fontId="0" fillId="0" borderId="6" xfId="0" applyNumberFormat="1" applyBorder="1"/>
    <xf numFmtId="171" fontId="8" fillId="0" borderId="6" xfId="0" applyNumberFormat="1" applyFont="1" applyBorder="1"/>
    <xf numFmtId="0" fontId="0" fillId="0" borderId="0" xfId="0" applyAlignment="1"/>
    <xf numFmtId="0" fontId="4" fillId="0" borderId="6" xfId="0" applyFont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165" fontId="0" fillId="2" borderId="6" xfId="0" applyNumberFormat="1" applyFill="1" applyBorder="1"/>
    <xf numFmtId="0" fontId="5" fillId="0" borderId="8" xfId="0" applyFont="1" applyBorder="1" applyAlignment="1">
      <alignment horizontal="left" vertical="center"/>
    </xf>
    <xf numFmtId="173" fontId="0" fillId="0" borderId="6" xfId="0" applyNumberFormat="1" applyBorder="1"/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/>
    <xf numFmtId="17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Fill="1" applyBorder="1"/>
    <xf numFmtId="0" fontId="2" fillId="0" borderId="6" xfId="0" applyFont="1" applyBorder="1"/>
    <xf numFmtId="0" fontId="2" fillId="0" borderId="0" xfId="0" applyFont="1"/>
    <xf numFmtId="0" fontId="1" fillId="0" borderId="6" xfId="0" applyFont="1" applyFill="1" applyBorder="1"/>
    <xf numFmtId="1" fontId="1" fillId="0" borderId="6" xfId="0" applyNumberFormat="1" applyFont="1" applyFill="1" applyBorder="1"/>
    <xf numFmtId="1" fontId="1" fillId="0" borderId="6" xfId="0" applyNumberFormat="1" applyFont="1" applyBorder="1"/>
    <xf numFmtId="0" fontId="1" fillId="0" borderId="0" xfId="0" applyFont="1"/>
    <xf numFmtId="0" fontId="3" fillId="0" borderId="6" xfId="0" applyFont="1" applyFill="1" applyBorder="1"/>
    <xf numFmtId="1" fontId="0" fillId="0" borderId="6" xfId="0" applyNumberFormat="1" applyFill="1" applyBorder="1"/>
    <xf numFmtId="174" fontId="1" fillId="0" borderId="6" xfId="0" applyNumberFormat="1" applyFont="1" applyBorder="1"/>
    <xf numFmtId="0" fontId="0" fillId="0" borderId="6" xfId="0" applyBorder="1" applyAlignment="1">
      <alignment horizontal="center" vertical="center"/>
    </xf>
    <xf numFmtId="17" fontId="1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1" fontId="1" fillId="0" borderId="5" xfId="0" applyNumberFormat="1" applyFont="1" applyFill="1" applyBorder="1"/>
    <xf numFmtId="1" fontId="0" fillId="0" borderId="5" xfId="0" applyNumberFormat="1" applyBorder="1"/>
    <xf numFmtId="10" fontId="0" fillId="0" borderId="5" xfId="0" applyNumberFormat="1" applyBorder="1"/>
    <xf numFmtId="10" fontId="1" fillId="0" borderId="5" xfId="0" applyNumberFormat="1" applyFont="1" applyBorder="1"/>
    <xf numFmtId="9" fontId="0" fillId="0" borderId="5" xfId="0" applyNumberFormat="1" applyBorder="1"/>
    <xf numFmtId="9" fontId="1" fillId="0" borderId="5" xfId="0" applyNumberFormat="1" applyFont="1" applyBorder="1"/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/>
    <xf numFmtId="177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48;&#1056;&#1053;&#1067;&#1049;%20&#1057;&#1053;&#1058;/&#1044;&#1045;&#1053;&#1045;&#1046;&#1053;&#1067;&#1049;%20&#1055;&#1054;&#1058;&#1054;&#1050;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ВОДА"/>
      <sheetName val=" ЭЭ"/>
      <sheetName val="CASHFLOW "/>
      <sheetName val="CASHFLOW + ЭЭ+Вода"/>
      <sheetName val="ЧАТ"/>
      <sheetName val=" СМЕТА ВОДЫ 2018"/>
      <sheetName val="СМЕТА ВСЕГО"/>
      <sheetName val="Доклад по смете 2019"/>
      <sheetName val="2013-2015"/>
      <sheetName val="Лицензия"/>
      <sheetName val="Данные МГ и СНТ"/>
      <sheetName val="Группировка статей"/>
    </sheetNames>
    <sheetDataSet>
      <sheetData sheetId="0"/>
      <sheetData sheetId="1">
        <row r="6">
          <cell r="AH6">
            <v>21.033000000000001</v>
          </cell>
          <cell r="AI6">
            <v>7.63</v>
          </cell>
          <cell r="AJ6">
            <v>7.4790000000000001</v>
          </cell>
          <cell r="AK6">
            <v>10.611000000000001</v>
          </cell>
          <cell r="AL6">
            <v>10.167999999999999</v>
          </cell>
          <cell r="AM6">
            <v>16.100000000000001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Q60"/>
  <sheetViews>
    <sheetView zoomScale="200" workbookViewId="0">
      <pane xSplit="1" ySplit="3" topLeftCell="H30" activePane="bottomRight" state="frozenSplit"/>
      <selection pane="topRight" activeCell="B1" sqref="B1"/>
      <selection pane="bottomLeft" activeCell="A4" sqref="A4"/>
      <selection pane="bottomRight" activeCell="L13" sqref="L13:L23"/>
    </sheetView>
  </sheetViews>
  <sheetFormatPr baseColWidth="10" defaultRowHeight="13" outlineLevelCol="1"/>
  <cols>
    <col min="1" max="1" width="35.140625" customWidth="1"/>
    <col min="2" max="2" width="9.42578125" hidden="1" customWidth="1" outlineLevel="1"/>
    <col min="3" max="7" width="0" hidden="1" customWidth="1" outlineLevel="1"/>
    <col min="8" max="8" width="10.7109375" collapsed="1"/>
    <col min="9" max="9" width="2" customWidth="1"/>
    <col min="10" max="10" width="38" style="47" customWidth="1"/>
  </cols>
  <sheetData>
    <row r="1" spans="1:17" ht="13" customHeight="1">
      <c r="A1" s="12" t="s">
        <v>30</v>
      </c>
      <c r="B1" s="13"/>
      <c r="C1" s="13"/>
      <c r="D1" s="13"/>
      <c r="E1" s="13"/>
      <c r="F1" s="13"/>
      <c r="G1" s="13"/>
      <c r="H1" s="13"/>
      <c r="J1" s="65" t="s">
        <v>8</v>
      </c>
      <c r="K1" s="66"/>
      <c r="L1" s="13"/>
      <c r="M1" s="13"/>
      <c r="N1" s="13"/>
      <c r="O1" s="13"/>
      <c r="P1" s="13"/>
      <c r="Q1" s="13"/>
    </row>
    <row r="2" spans="1:17" ht="38" customHeight="1" thickBot="1">
      <c r="A2" s="11"/>
      <c r="B2" s="9"/>
      <c r="J2" s="66"/>
      <c r="K2" s="66"/>
      <c r="L2" s="59"/>
      <c r="M2" s="59"/>
      <c r="N2" s="59"/>
      <c r="O2" s="59"/>
      <c r="P2" s="59"/>
      <c r="Q2" s="59"/>
    </row>
    <row r="3" spans="1:17">
      <c r="A3" s="1"/>
      <c r="B3" s="18">
        <v>41820</v>
      </c>
      <c r="C3" s="18">
        <v>41851</v>
      </c>
      <c r="D3" s="18">
        <v>41882</v>
      </c>
      <c r="E3" s="18">
        <v>41912</v>
      </c>
      <c r="F3" s="18">
        <v>41943</v>
      </c>
      <c r="G3" s="18">
        <v>41973</v>
      </c>
      <c r="H3" s="60" t="s">
        <v>9</v>
      </c>
      <c r="J3" s="21"/>
      <c r="K3" s="60" t="s">
        <v>9</v>
      </c>
    </row>
    <row r="4" spans="1:17" ht="26">
      <c r="A4" s="14" t="s">
        <v>29</v>
      </c>
      <c r="B4" s="7">
        <f>337+436</f>
        <v>773</v>
      </c>
      <c r="C4" s="7">
        <f>B55</f>
        <v>1300.43</v>
      </c>
      <c r="D4" s="7">
        <f t="shared" ref="D4:G4" si="0">C55</f>
        <v>1550.4690000000001</v>
      </c>
      <c r="E4" s="7">
        <f t="shared" si="0"/>
        <v>1909.6460000000002</v>
      </c>
      <c r="F4" s="7">
        <f t="shared" si="0"/>
        <v>1505.7710000000002</v>
      </c>
      <c r="G4" s="7">
        <f t="shared" si="0"/>
        <v>1374.4930000000004</v>
      </c>
      <c r="H4" s="7">
        <f>B4</f>
        <v>773</v>
      </c>
      <c r="J4" s="38" t="s">
        <v>29</v>
      </c>
      <c r="K4" s="7">
        <f>337+436</f>
        <v>773</v>
      </c>
    </row>
    <row r="5" spans="1:17" ht="14">
      <c r="A5" s="15" t="s">
        <v>20</v>
      </c>
      <c r="B5" s="19"/>
      <c r="C5" s="8"/>
      <c r="D5" s="8"/>
      <c r="E5" s="8"/>
      <c r="F5" s="8"/>
      <c r="G5" s="8"/>
      <c r="H5" s="20"/>
      <c r="J5" s="42" t="s">
        <v>83</v>
      </c>
      <c r="K5" s="20"/>
    </row>
    <row r="6" spans="1:17">
      <c r="A6" s="16" t="s">
        <v>21</v>
      </c>
      <c r="B6" s="22">
        <v>418.20299999999997</v>
      </c>
      <c r="C6" s="23">
        <v>750.7</v>
      </c>
      <c r="D6" s="23">
        <v>553.73500000000001</v>
      </c>
      <c r="E6" s="23">
        <v>357.04899999999998</v>
      </c>
      <c r="F6" s="23">
        <v>345.67700000000002</v>
      </c>
      <c r="G6" s="23">
        <v>457.613</v>
      </c>
      <c r="H6" s="23">
        <f>SUM(B6:G6)</f>
        <v>2882.9769999999999</v>
      </c>
      <c r="J6" s="21" t="s">
        <v>84</v>
      </c>
      <c r="K6" s="55">
        <f>H6</f>
        <v>2882.9769999999999</v>
      </c>
      <c r="L6" s="91">
        <f>K6/K$10</f>
        <v>0.4733014327045526</v>
      </c>
    </row>
    <row r="7" spans="1:17" ht="13" customHeight="1">
      <c r="A7" s="16" t="s">
        <v>73</v>
      </c>
      <c r="B7" s="22">
        <v>1.5089999999999999</v>
      </c>
      <c r="C7" s="23"/>
      <c r="D7" s="23">
        <v>50</v>
      </c>
      <c r="E7" s="23">
        <v>50.19</v>
      </c>
      <c r="F7" s="23">
        <v>50</v>
      </c>
      <c r="G7" s="23"/>
      <c r="H7" s="23">
        <f>SUM(B7:G7)</f>
        <v>151.69900000000001</v>
      </c>
      <c r="J7" s="21" t="s">
        <v>85</v>
      </c>
      <c r="K7" s="55">
        <f>H15</f>
        <v>2241.1170000000002</v>
      </c>
      <c r="L7" s="91">
        <f t="shared" ref="L7:L9" si="1">K7/K$10</f>
        <v>0.36792658663545669</v>
      </c>
    </row>
    <row r="8" spans="1:17">
      <c r="A8" s="16" t="s">
        <v>22</v>
      </c>
      <c r="B8" s="22">
        <v>9</v>
      </c>
      <c r="C8" s="24">
        <v>11.5</v>
      </c>
      <c r="D8" s="24">
        <v>7</v>
      </c>
      <c r="E8" s="24">
        <v>0.5</v>
      </c>
      <c r="F8" s="24"/>
      <c r="G8" s="24">
        <v>2.5</v>
      </c>
      <c r="H8" s="23">
        <f>SUM(B8:G8)</f>
        <v>30.5</v>
      </c>
      <c r="J8" s="34" t="s">
        <v>80</v>
      </c>
      <c r="K8" s="55">
        <f>H17+H18</f>
        <v>734.97400000000005</v>
      </c>
      <c r="L8" s="91">
        <f t="shared" si="1"/>
        <v>0.12066147152772841</v>
      </c>
    </row>
    <row r="9" spans="1:17">
      <c r="A9" s="33" t="s">
        <v>74</v>
      </c>
      <c r="B9" s="23">
        <v>0.5</v>
      </c>
      <c r="C9" s="23">
        <v>1.5</v>
      </c>
      <c r="D9" s="23">
        <v>0.5</v>
      </c>
      <c r="E9" s="23"/>
      <c r="F9" s="23"/>
      <c r="G9" s="23"/>
      <c r="H9" s="23">
        <f t="shared" ref="H9:H13" si="2">SUM(B9:G9)</f>
        <v>2.5</v>
      </c>
      <c r="J9" s="44" t="s">
        <v>86</v>
      </c>
      <c r="K9" s="55">
        <f>H7+H8+H9+H10+H11+H12+H16</f>
        <v>232.13900000000001</v>
      </c>
      <c r="L9" s="91">
        <f t="shared" si="1"/>
        <v>3.8110509132262292E-2</v>
      </c>
    </row>
    <row r="10" spans="1:17" ht="14">
      <c r="A10" s="33" t="s">
        <v>75</v>
      </c>
      <c r="B10" s="23">
        <v>8</v>
      </c>
      <c r="C10" s="23">
        <v>1</v>
      </c>
      <c r="D10" s="23"/>
      <c r="E10" s="23"/>
      <c r="F10" s="23">
        <v>1</v>
      </c>
      <c r="G10" s="23"/>
      <c r="H10" s="23">
        <f t="shared" si="2"/>
        <v>10</v>
      </c>
      <c r="J10" s="37" t="s">
        <v>23</v>
      </c>
      <c r="K10" s="53">
        <f>K6+K7+K8+K9</f>
        <v>6091.2070000000003</v>
      </c>
      <c r="L10" s="91">
        <v>1</v>
      </c>
    </row>
    <row r="11" spans="1:17">
      <c r="A11" s="33" t="s">
        <v>76</v>
      </c>
      <c r="B11" s="23">
        <v>1.1399999999999999</v>
      </c>
      <c r="C11" s="23">
        <v>1.05</v>
      </c>
      <c r="D11" s="23">
        <v>1.56</v>
      </c>
      <c r="E11" s="23">
        <v>2.14</v>
      </c>
      <c r="F11" s="23">
        <v>7.02</v>
      </c>
      <c r="G11" s="23">
        <v>0.94</v>
      </c>
      <c r="H11" s="23">
        <f t="shared" si="2"/>
        <v>13.85</v>
      </c>
      <c r="J11" s="43"/>
      <c r="K11" s="20"/>
    </row>
    <row r="12" spans="1:17">
      <c r="A12" s="34" t="s">
        <v>77</v>
      </c>
      <c r="B12" s="22">
        <v>1.29</v>
      </c>
      <c r="C12" s="23"/>
      <c r="D12" s="23"/>
      <c r="E12" s="23">
        <v>7.8</v>
      </c>
      <c r="F12" s="23"/>
      <c r="G12" s="23"/>
      <c r="H12" s="23">
        <f t="shared" si="2"/>
        <v>9.09</v>
      </c>
      <c r="J12" s="42" t="s">
        <v>87</v>
      </c>
      <c r="K12" s="20"/>
    </row>
    <row r="13" spans="1:17">
      <c r="A13" s="20" t="s">
        <v>78</v>
      </c>
      <c r="B13" s="23">
        <f>SUM(B6:B12)</f>
        <v>439.642</v>
      </c>
      <c r="C13" s="23">
        <f t="shared" ref="C13:G13" si="3">SUM(C6:C12)</f>
        <v>765.75</v>
      </c>
      <c r="D13" s="23">
        <f t="shared" si="3"/>
        <v>612.79499999999996</v>
      </c>
      <c r="E13" s="23">
        <f t="shared" si="3"/>
        <v>417.67899999999997</v>
      </c>
      <c r="F13" s="23">
        <f t="shared" si="3"/>
        <v>403.697</v>
      </c>
      <c r="G13" s="23">
        <f t="shared" si="3"/>
        <v>461.053</v>
      </c>
      <c r="H13" s="23">
        <f t="shared" si="2"/>
        <v>3100.616</v>
      </c>
      <c r="J13" s="34" t="s">
        <v>61</v>
      </c>
      <c r="K13" s="57">
        <f>H46</f>
        <v>1787.3789999999999</v>
      </c>
      <c r="L13" s="91">
        <f>K13/K$24</f>
        <v>0.36310686120354457</v>
      </c>
    </row>
    <row r="14" spans="1:17">
      <c r="A14" s="10"/>
      <c r="B14" s="23"/>
      <c r="C14" s="23"/>
      <c r="D14" s="23"/>
      <c r="E14" s="23"/>
      <c r="F14" s="23"/>
      <c r="G14" s="23"/>
      <c r="H14" s="23"/>
      <c r="J14" s="54" t="s">
        <v>81</v>
      </c>
      <c r="K14" s="57">
        <f>H22+H23</f>
        <v>1227.0709999999999</v>
      </c>
      <c r="L14" s="91">
        <f t="shared" ref="L14:L23" si="4">K14/K$24</f>
        <v>0.24928003477935826</v>
      </c>
    </row>
    <row r="15" spans="1:17">
      <c r="A15" s="16" t="s">
        <v>79</v>
      </c>
      <c r="B15" s="22">
        <v>285.197</v>
      </c>
      <c r="C15" s="23">
        <f>373.315+6.31</f>
        <v>379.625</v>
      </c>
      <c r="D15" s="23">
        <f>364.343+6.4</f>
        <v>370.74299999999999</v>
      </c>
      <c r="E15" s="23">
        <f>307.917+3.8</f>
        <v>311.71699999999998</v>
      </c>
      <c r="F15" s="23">
        <f>301.422+2.88</f>
        <v>304.30200000000002</v>
      </c>
      <c r="G15" s="23">
        <f>581.153+8.38</f>
        <v>589.53300000000002</v>
      </c>
      <c r="H15" s="23">
        <f t="shared" ref="H15:H53" si="5">SUM(B15:G15)</f>
        <v>2241.1170000000002</v>
      </c>
      <c r="J15" s="34" t="s">
        <v>88</v>
      </c>
      <c r="K15" s="57">
        <f>H24</f>
        <v>91.820999999999998</v>
      </c>
      <c r="L15" s="91">
        <f t="shared" si="4"/>
        <v>1.8653478138979291E-2</v>
      </c>
    </row>
    <row r="16" spans="1:17">
      <c r="A16" s="16" t="s">
        <v>36</v>
      </c>
      <c r="B16" s="22"/>
      <c r="C16" s="23">
        <v>5.2</v>
      </c>
      <c r="D16" s="23">
        <v>2.9</v>
      </c>
      <c r="E16" s="23">
        <v>6.4</v>
      </c>
      <c r="F16" s="23"/>
      <c r="G16" s="23"/>
      <c r="H16" s="23">
        <f t="shared" si="5"/>
        <v>14.5</v>
      </c>
      <c r="J16" s="54" t="s">
        <v>82</v>
      </c>
      <c r="K16" s="57">
        <f>H25+H49+H51</f>
        <v>738.13400000000001</v>
      </c>
      <c r="L16" s="91">
        <f t="shared" si="4"/>
        <v>0.14995225964253645</v>
      </c>
    </row>
    <row r="17" spans="1:12">
      <c r="A17" s="16" t="s">
        <v>37</v>
      </c>
      <c r="B17" s="22">
        <v>57</v>
      </c>
      <c r="C17" s="23">
        <f>3+143.674</f>
        <v>146.67400000000001</v>
      </c>
      <c r="D17" s="23">
        <f>5+132.8</f>
        <v>137.80000000000001</v>
      </c>
      <c r="E17" s="23">
        <f>2+84</f>
        <v>86</v>
      </c>
      <c r="F17" s="23">
        <v>37.5</v>
      </c>
      <c r="G17" s="23">
        <f>6+27</f>
        <v>33</v>
      </c>
      <c r="H17" s="23">
        <f t="shared" si="5"/>
        <v>497.97400000000005</v>
      </c>
      <c r="J17" s="34" t="s">
        <v>89</v>
      </c>
      <c r="K17" s="57">
        <f>H30</f>
        <v>240</v>
      </c>
      <c r="L17" s="91">
        <f t="shared" si="4"/>
        <v>4.8756109750003045E-2</v>
      </c>
    </row>
    <row r="18" spans="1:12">
      <c r="A18" s="16" t="s">
        <v>38</v>
      </c>
      <c r="B18" s="22">
        <v>60</v>
      </c>
      <c r="C18" s="23">
        <v>177</v>
      </c>
      <c r="D18" s="23"/>
      <c r="E18" s="23"/>
      <c r="F18" s="23"/>
      <c r="G18" s="23"/>
      <c r="H18" s="23">
        <f t="shared" si="5"/>
        <v>237</v>
      </c>
      <c r="J18" s="54" t="s">
        <v>26</v>
      </c>
      <c r="K18" s="57">
        <f>H44</f>
        <v>453.274</v>
      </c>
      <c r="L18" s="91">
        <f t="shared" si="4"/>
        <v>9.2082820378428673E-2</v>
      </c>
    </row>
    <row r="19" spans="1:12" ht="14">
      <c r="A19" s="15" t="s">
        <v>23</v>
      </c>
      <c r="B19" s="26">
        <f>SUM(B13:B18)</f>
        <v>841.83899999999994</v>
      </c>
      <c r="C19" s="26">
        <f t="shared" ref="C19:G19" si="6">SUM(C13:C18)</f>
        <v>1474.249</v>
      </c>
      <c r="D19" s="26">
        <f t="shared" si="6"/>
        <v>1124.2380000000001</v>
      </c>
      <c r="E19" s="26">
        <f t="shared" si="6"/>
        <v>821.79599999999994</v>
      </c>
      <c r="F19" s="26">
        <f t="shared" si="6"/>
        <v>745.49900000000002</v>
      </c>
      <c r="G19" s="26">
        <f t="shared" si="6"/>
        <v>1083.586</v>
      </c>
      <c r="H19" s="26">
        <f t="shared" si="5"/>
        <v>6091.2070000000003</v>
      </c>
      <c r="J19" s="21" t="s">
        <v>27</v>
      </c>
      <c r="K19" s="57">
        <f>H27+H32+H33+H34+H35+H36+H37+H38+H42</f>
        <v>178.01600000000002</v>
      </c>
      <c r="L19" s="91">
        <f t="shared" si="4"/>
        <v>3.61640318052356E-2</v>
      </c>
    </row>
    <row r="20" spans="1:12">
      <c r="A20" s="16"/>
      <c r="B20" s="22"/>
      <c r="C20" s="23"/>
      <c r="D20" s="23"/>
      <c r="E20" s="23"/>
      <c r="F20" s="23"/>
      <c r="G20" s="23"/>
      <c r="H20" s="23">
        <f t="shared" si="5"/>
        <v>0</v>
      </c>
      <c r="J20" s="51" t="s">
        <v>7</v>
      </c>
      <c r="K20" s="57">
        <f>H39+H40+H41</f>
        <v>109.95500000000001</v>
      </c>
      <c r="L20" s="91">
        <f t="shared" si="4"/>
        <v>2.2337408531506606E-2</v>
      </c>
    </row>
    <row r="21" spans="1:12" ht="21" customHeight="1">
      <c r="A21" s="15" t="s">
        <v>24</v>
      </c>
      <c r="B21" s="26"/>
      <c r="C21" s="23"/>
      <c r="D21" s="23"/>
      <c r="E21" s="23"/>
      <c r="F21" s="23"/>
      <c r="G21" s="23"/>
      <c r="H21" s="23">
        <f t="shared" si="5"/>
        <v>0</v>
      </c>
      <c r="J21" s="50" t="s">
        <v>28</v>
      </c>
      <c r="K21" s="57">
        <f>H26+H43</f>
        <v>74.72</v>
      </c>
      <c r="L21" s="91">
        <f t="shared" si="4"/>
        <v>1.5179402168834281E-2</v>
      </c>
    </row>
    <row r="22" spans="1:12">
      <c r="A22" s="16" t="s">
        <v>39</v>
      </c>
      <c r="B22" s="22">
        <v>115.82299999999999</v>
      </c>
      <c r="C22" s="23">
        <v>84.756</v>
      </c>
      <c r="D22" s="23">
        <f>152.986+138.315</f>
        <v>291.30099999999999</v>
      </c>
      <c r="E22" s="23">
        <f>64.724</f>
        <v>64.724000000000004</v>
      </c>
      <c r="F22" s="23">
        <f>160.356+61.724</f>
        <v>222.07999999999998</v>
      </c>
      <c r="G22" s="23">
        <f>80.177+151.724</f>
        <v>231.90100000000001</v>
      </c>
      <c r="H22" s="23">
        <f t="shared" si="5"/>
        <v>1010.585</v>
      </c>
      <c r="J22" s="34" t="s">
        <v>90</v>
      </c>
      <c r="K22" s="57">
        <f>H29</f>
        <v>22.09</v>
      </c>
      <c r="L22" s="91">
        <f t="shared" si="4"/>
        <v>4.4875936015731973E-3</v>
      </c>
    </row>
    <row r="23" spans="1:12">
      <c r="A23" s="16" t="s">
        <v>40</v>
      </c>
      <c r="B23" s="22">
        <v>68.75</v>
      </c>
      <c r="C23" s="23"/>
      <c r="D23" s="23">
        <v>24.706</v>
      </c>
      <c r="E23" s="23">
        <v>50.03</v>
      </c>
      <c r="F23" s="23">
        <v>31.99</v>
      </c>
      <c r="G23" s="23">
        <v>41.01</v>
      </c>
      <c r="H23" s="23">
        <f t="shared" si="5"/>
        <v>216.48599999999999</v>
      </c>
      <c r="J23" s="34" t="s">
        <v>44</v>
      </c>
      <c r="K23" s="57">
        <f>H28</f>
        <v>0</v>
      </c>
      <c r="L23" s="91">
        <f t="shared" si="4"/>
        <v>0</v>
      </c>
    </row>
    <row r="24" spans="1:12" ht="14">
      <c r="A24" s="16" t="s">
        <v>41</v>
      </c>
      <c r="B24" s="22">
        <v>91.820999999999998</v>
      </c>
      <c r="C24" s="23"/>
      <c r="D24" s="23"/>
      <c r="E24" s="23"/>
      <c r="F24" s="23"/>
      <c r="G24" s="23"/>
      <c r="H24" s="23">
        <f t="shared" si="5"/>
        <v>91.820999999999998</v>
      </c>
      <c r="J24" s="37" t="s">
        <v>67</v>
      </c>
      <c r="K24" s="58">
        <f>SUM(K13:K23)</f>
        <v>4922.46</v>
      </c>
      <c r="L24" s="91">
        <v>1</v>
      </c>
    </row>
    <row r="25" spans="1:12">
      <c r="A25" s="17" t="s">
        <v>35</v>
      </c>
      <c r="B25" s="27"/>
      <c r="C25" s="23">
        <v>7.26</v>
      </c>
      <c r="D25" s="23">
        <v>11.7</v>
      </c>
      <c r="E25" s="23">
        <v>5.85</v>
      </c>
      <c r="F25" s="23"/>
      <c r="G25" s="23">
        <v>11.7</v>
      </c>
      <c r="H25" s="23">
        <f t="shared" si="5"/>
        <v>36.510000000000005</v>
      </c>
      <c r="J25" s="51"/>
      <c r="K25" s="56"/>
    </row>
    <row r="26" spans="1:12" ht="13" customHeight="1">
      <c r="A26" s="17" t="s">
        <v>42</v>
      </c>
      <c r="B26" s="27"/>
      <c r="C26" s="23">
        <f>7+4</f>
        <v>11</v>
      </c>
      <c r="D26" s="23">
        <f>44.72+12</f>
        <v>56.72</v>
      </c>
      <c r="E26" s="23">
        <v>0.3</v>
      </c>
      <c r="F26" s="23"/>
      <c r="G26" s="23"/>
      <c r="H26" s="23">
        <f t="shared" si="5"/>
        <v>68.02</v>
      </c>
      <c r="J26" s="38" t="s">
        <v>68</v>
      </c>
      <c r="K26" s="58">
        <f>K4+K10-K24</f>
        <v>1941.7470000000003</v>
      </c>
    </row>
    <row r="27" spans="1:12">
      <c r="A27" s="17" t="s">
        <v>43</v>
      </c>
      <c r="B27" s="27"/>
      <c r="C27" s="23"/>
      <c r="D27" s="23">
        <v>6</v>
      </c>
      <c r="E27" s="23">
        <v>5</v>
      </c>
      <c r="F27" s="23">
        <v>5</v>
      </c>
      <c r="G27" s="23">
        <v>10</v>
      </c>
      <c r="H27" s="23">
        <f t="shared" si="5"/>
        <v>26</v>
      </c>
      <c r="J27" s="46" t="s">
        <v>6</v>
      </c>
      <c r="K27" s="55">
        <f>'Зимняя вода'!H18</f>
        <v>641.07599999999979</v>
      </c>
    </row>
    <row r="28" spans="1:12">
      <c r="A28" s="17" t="s">
        <v>44</v>
      </c>
      <c r="B28" s="27"/>
      <c r="C28" s="23"/>
      <c r="D28" s="23"/>
      <c r="E28" s="23"/>
      <c r="F28" s="23"/>
      <c r="G28" s="23"/>
      <c r="H28" s="23">
        <f t="shared" si="5"/>
        <v>0</v>
      </c>
      <c r="J28" s="50"/>
      <c r="K28" s="20"/>
    </row>
    <row r="29" spans="1:12">
      <c r="A29" s="17" t="s">
        <v>45</v>
      </c>
      <c r="B29" s="27"/>
      <c r="C29" s="23"/>
      <c r="D29" s="23"/>
      <c r="E29" s="23"/>
      <c r="F29" s="23">
        <v>22.09</v>
      </c>
      <c r="G29" s="23"/>
      <c r="H29" s="23">
        <f t="shared" si="5"/>
        <v>22.09</v>
      </c>
      <c r="J29" s="42" t="s">
        <v>61</v>
      </c>
      <c r="K29" s="64">
        <f>H46</f>
        <v>1787.3789999999999</v>
      </c>
    </row>
    <row r="30" spans="1:12" ht="13" customHeight="1">
      <c r="A30" s="16" t="s">
        <v>25</v>
      </c>
      <c r="B30" s="22"/>
      <c r="C30" s="23">
        <v>60</v>
      </c>
      <c r="D30" s="23">
        <v>60</v>
      </c>
      <c r="E30" s="23">
        <v>48</v>
      </c>
      <c r="F30" s="23">
        <v>42</v>
      </c>
      <c r="G30" s="23">
        <v>30</v>
      </c>
      <c r="H30" s="23">
        <f t="shared" si="5"/>
        <v>240</v>
      </c>
      <c r="J30" s="45" t="s">
        <v>34</v>
      </c>
      <c r="K30" s="64"/>
    </row>
    <row r="31" spans="1:12">
      <c r="A31" s="16" t="s">
        <v>46</v>
      </c>
      <c r="B31" s="22"/>
      <c r="C31" s="23"/>
      <c r="D31" s="23"/>
      <c r="E31" s="23"/>
      <c r="F31" s="23"/>
      <c r="G31" s="23"/>
      <c r="H31" s="23">
        <f t="shared" si="5"/>
        <v>0</v>
      </c>
      <c r="J31" s="34" t="s">
        <v>31</v>
      </c>
      <c r="K31" s="64">
        <f>H47</f>
        <v>73.034999999999997</v>
      </c>
    </row>
    <row r="32" spans="1:12">
      <c r="A32" s="16" t="s">
        <v>47</v>
      </c>
      <c r="B32" s="22">
        <v>3.2</v>
      </c>
      <c r="C32" s="23">
        <v>4.6829999999999998</v>
      </c>
      <c r="D32" s="23">
        <v>4.4340000000000002</v>
      </c>
      <c r="E32" s="23">
        <v>3.2770000000000001</v>
      </c>
      <c r="F32" s="23">
        <v>1.93</v>
      </c>
      <c r="G32" s="23">
        <v>2.6</v>
      </c>
      <c r="H32" s="23">
        <f t="shared" si="5"/>
        <v>20.124000000000002</v>
      </c>
      <c r="J32" s="34" t="s">
        <v>32</v>
      </c>
      <c r="K32" s="64">
        <f>H48</f>
        <v>153.75300000000001</v>
      </c>
    </row>
    <row r="33" spans="1:11">
      <c r="A33" s="16" t="s">
        <v>48</v>
      </c>
      <c r="B33" s="22"/>
      <c r="C33" s="23">
        <v>2.5</v>
      </c>
      <c r="D33" s="23">
        <v>6.5</v>
      </c>
      <c r="E33" s="23">
        <v>1.5</v>
      </c>
      <c r="F33" s="23">
        <v>1.5</v>
      </c>
      <c r="G33" s="23">
        <v>1.5</v>
      </c>
      <c r="H33" s="23">
        <f t="shared" si="5"/>
        <v>13.5</v>
      </c>
      <c r="J33" s="34" t="s">
        <v>33</v>
      </c>
      <c r="K33" s="64">
        <f>K29-K31-K32</f>
        <v>1560.5909999999999</v>
      </c>
    </row>
    <row r="34" spans="1:11">
      <c r="A34" s="16" t="s">
        <v>49</v>
      </c>
      <c r="B34" s="22"/>
      <c r="C34" s="23"/>
      <c r="D34" s="23">
        <v>1.421</v>
      </c>
      <c r="E34" s="23"/>
      <c r="F34" s="23"/>
      <c r="G34" s="23"/>
      <c r="H34" s="23">
        <f t="shared" si="5"/>
        <v>1.421</v>
      </c>
      <c r="J34" s="46"/>
      <c r="K34" s="64"/>
    </row>
    <row r="35" spans="1:11">
      <c r="A35" s="16" t="s">
        <v>50</v>
      </c>
      <c r="B35" s="22"/>
      <c r="C35" s="23">
        <v>12</v>
      </c>
      <c r="D35" s="23">
        <v>24</v>
      </c>
      <c r="E35" s="23">
        <v>12</v>
      </c>
      <c r="F35" s="23">
        <v>12</v>
      </c>
      <c r="G35" s="23">
        <v>32.572000000000003</v>
      </c>
      <c r="H35" s="23">
        <f t="shared" si="5"/>
        <v>92.572000000000003</v>
      </c>
      <c r="J35" s="63"/>
    </row>
    <row r="36" spans="1:11">
      <c r="A36" s="16" t="s">
        <v>51</v>
      </c>
      <c r="B36" s="22"/>
      <c r="C36" s="23">
        <f>3.65+0.5</f>
        <v>4.1500000000000004</v>
      </c>
      <c r="D36" s="23"/>
      <c r="E36" s="23"/>
      <c r="F36" s="23"/>
      <c r="G36" s="23"/>
      <c r="H36" s="23">
        <f t="shared" si="5"/>
        <v>4.1500000000000004</v>
      </c>
      <c r="J36" s="44"/>
    </row>
    <row r="37" spans="1:11">
      <c r="A37" s="17" t="s">
        <v>52</v>
      </c>
      <c r="B37" s="27"/>
      <c r="C37" s="23">
        <v>1.47</v>
      </c>
      <c r="D37" s="23">
        <v>9.0790000000000006</v>
      </c>
      <c r="E37" s="23"/>
      <c r="F37" s="23"/>
      <c r="G37" s="23"/>
      <c r="H37" s="23">
        <f t="shared" si="5"/>
        <v>10.549000000000001</v>
      </c>
      <c r="J37" s="44"/>
    </row>
    <row r="38" spans="1:11">
      <c r="A38" s="16" t="s">
        <v>53</v>
      </c>
      <c r="B38" s="22">
        <v>3</v>
      </c>
      <c r="C38" s="23"/>
      <c r="D38" s="23">
        <v>5</v>
      </c>
      <c r="E38" s="23"/>
      <c r="F38" s="23"/>
      <c r="G38" s="23"/>
      <c r="H38" s="23">
        <f t="shared" si="5"/>
        <v>8</v>
      </c>
      <c r="J38" s="44"/>
    </row>
    <row r="39" spans="1:11">
      <c r="A39" s="16" t="s">
        <v>54</v>
      </c>
      <c r="B39" s="22"/>
      <c r="C39" s="23"/>
      <c r="D39" s="23"/>
      <c r="E39" s="23">
        <v>4.5999999999999996</v>
      </c>
      <c r="F39" s="23">
        <v>0.44</v>
      </c>
      <c r="G39" s="23">
        <v>33.914999999999999</v>
      </c>
      <c r="H39" s="23">
        <f t="shared" si="5"/>
        <v>38.954999999999998</v>
      </c>
      <c r="J39" s="44"/>
    </row>
    <row r="40" spans="1:11">
      <c r="A40" s="16" t="s">
        <v>55</v>
      </c>
      <c r="B40" s="22"/>
      <c r="C40" s="22">
        <f>24.82+3</f>
        <v>27.82</v>
      </c>
      <c r="D40" s="23">
        <v>0.75</v>
      </c>
      <c r="E40" s="23">
        <v>15.109</v>
      </c>
      <c r="F40" s="23">
        <v>0.96499999999999997</v>
      </c>
      <c r="G40" s="23"/>
      <c r="H40" s="23">
        <f t="shared" si="5"/>
        <v>44.644000000000005</v>
      </c>
      <c r="J40" s="44"/>
    </row>
    <row r="41" spans="1:11" ht="13" customHeight="1">
      <c r="A41" s="2" t="s">
        <v>56</v>
      </c>
      <c r="B41" s="28">
        <v>2.5299999999999998</v>
      </c>
      <c r="C41" s="23">
        <v>4.3</v>
      </c>
      <c r="D41" s="23">
        <v>4.2670000000000003</v>
      </c>
      <c r="E41" s="23">
        <v>2.141</v>
      </c>
      <c r="F41" s="23">
        <f>1.804+5</f>
        <v>6.8040000000000003</v>
      </c>
      <c r="G41" s="23">
        <v>6.3140000000000001</v>
      </c>
      <c r="H41" s="41">
        <f t="shared" si="5"/>
        <v>26.356000000000002</v>
      </c>
      <c r="J41" s="44"/>
    </row>
    <row r="42" spans="1:11">
      <c r="A42" s="34" t="s">
        <v>57</v>
      </c>
      <c r="B42" s="22">
        <v>1</v>
      </c>
      <c r="C42" s="23">
        <v>0.7</v>
      </c>
      <c r="D42" s="23"/>
      <c r="E42" s="23"/>
      <c r="F42" s="23"/>
      <c r="G42" s="23"/>
      <c r="H42" s="41">
        <f t="shared" si="5"/>
        <v>1.7</v>
      </c>
      <c r="J42" s="44"/>
    </row>
    <row r="43" spans="1:11">
      <c r="A43" s="34" t="s">
        <v>58</v>
      </c>
      <c r="B43" s="22">
        <v>3.0750000000000002</v>
      </c>
      <c r="C43" s="23"/>
      <c r="D43" s="23"/>
      <c r="E43" s="23"/>
      <c r="F43" s="23"/>
      <c r="G43" s="23">
        <v>3.625</v>
      </c>
      <c r="H43" s="41">
        <f t="shared" si="5"/>
        <v>6.7</v>
      </c>
      <c r="J43" s="48"/>
    </row>
    <row r="44" spans="1:11">
      <c r="A44" s="34" t="s">
        <v>59</v>
      </c>
      <c r="B44" s="35">
        <v>25.21</v>
      </c>
      <c r="C44" s="23">
        <f>47.31+3.5</f>
        <v>50.81</v>
      </c>
      <c r="D44" s="23">
        <f>122.242+19.472</f>
        <v>141.714</v>
      </c>
      <c r="E44" s="23">
        <f>20.09+7.5</f>
        <v>27.59</v>
      </c>
      <c r="F44" s="23">
        <f>122.73+5.5</f>
        <v>128.23000000000002</v>
      </c>
      <c r="G44" s="23">
        <f>74.22+5.5</f>
        <v>79.72</v>
      </c>
      <c r="H44" s="41">
        <f t="shared" si="5"/>
        <v>453.274</v>
      </c>
      <c r="J44" s="52"/>
    </row>
    <row r="45" spans="1:11">
      <c r="A45" s="61" t="s">
        <v>60</v>
      </c>
      <c r="B45" s="35"/>
      <c r="C45" s="23"/>
      <c r="D45" s="23"/>
      <c r="E45" s="23"/>
      <c r="F45" s="23"/>
      <c r="G45" s="23">
        <v>257.923</v>
      </c>
      <c r="H45" s="62">
        <f t="shared" si="5"/>
        <v>257.923</v>
      </c>
      <c r="J45" s="52"/>
    </row>
    <row r="46" spans="1:11">
      <c r="A46" s="34" t="s">
        <v>61</v>
      </c>
      <c r="B46" s="35"/>
      <c r="C46" s="23">
        <v>602.76099999999997</v>
      </c>
      <c r="D46" s="23">
        <v>115.46899999999999</v>
      </c>
      <c r="E46" s="23">
        <v>285.92599999999999</v>
      </c>
      <c r="F46" s="23">
        <v>401.74799999999999</v>
      </c>
      <c r="G46" s="23">
        <v>381.47500000000002</v>
      </c>
      <c r="H46" s="41">
        <f t="shared" si="5"/>
        <v>1787.3789999999999</v>
      </c>
      <c r="J46" s="49"/>
    </row>
    <row r="47" spans="1:11">
      <c r="A47" s="34" t="s">
        <v>62</v>
      </c>
      <c r="B47" s="22">
        <v>21.033000000000001</v>
      </c>
      <c r="C47" s="23">
        <v>7.63</v>
      </c>
      <c r="D47" s="23">
        <v>7.4790000000000001</v>
      </c>
      <c r="E47" s="23">
        <v>10.611000000000001</v>
      </c>
      <c r="F47" s="23">
        <v>10.167999999999999</v>
      </c>
      <c r="G47" s="23">
        <v>16.114000000000001</v>
      </c>
      <c r="H47" s="41">
        <f t="shared" si="5"/>
        <v>73.034999999999997</v>
      </c>
      <c r="J47" s="21"/>
    </row>
    <row r="48" spans="1:11">
      <c r="A48" s="34" t="s">
        <v>63</v>
      </c>
      <c r="B48" s="22">
        <v>23</v>
      </c>
      <c r="C48" s="23">
        <v>19.375</v>
      </c>
      <c r="D48" s="23">
        <v>24.315999999999999</v>
      </c>
      <c r="E48" s="23">
        <v>19.2</v>
      </c>
      <c r="F48" s="23">
        <v>35.084000000000003</v>
      </c>
      <c r="G48" s="23">
        <v>32.777999999999999</v>
      </c>
      <c r="H48" s="41">
        <f t="shared" si="5"/>
        <v>153.75300000000001</v>
      </c>
      <c r="J48" s="21"/>
    </row>
    <row r="49" spans="1:10">
      <c r="A49" s="34" t="s">
        <v>64</v>
      </c>
      <c r="B49" s="22"/>
      <c r="C49" s="23"/>
      <c r="D49" s="23"/>
      <c r="E49" s="23">
        <v>699.62400000000002</v>
      </c>
      <c r="F49" s="23"/>
      <c r="G49" s="23"/>
      <c r="H49" s="41">
        <f t="shared" si="5"/>
        <v>699.62400000000002</v>
      </c>
      <c r="J49" s="21"/>
    </row>
    <row r="50" spans="1:10">
      <c r="A50" s="61" t="s">
        <v>65</v>
      </c>
      <c r="B50" s="22"/>
      <c r="C50" s="23">
        <v>350</v>
      </c>
      <c r="D50" s="23"/>
      <c r="E50" s="23"/>
      <c r="F50" s="23"/>
      <c r="G50" s="23"/>
      <c r="H50" s="62">
        <f t="shared" si="5"/>
        <v>350</v>
      </c>
      <c r="J50" s="21"/>
    </row>
    <row r="51" spans="1:10">
      <c r="A51" s="36" t="s">
        <v>66</v>
      </c>
      <c r="B51" s="23"/>
      <c r="C51" s="23"/>
      <c r="D51" s="23">
        <v>2</v>
      </c>
      <c r="E51" s="23"/>
      <c r="F51" s="23"/>
      <c r="G51" s="23"/>
      <c r="H51" s="41">
        <f t="shared" si="5"/>
        <v>2</v>
      </c>
      <c r="J51" s="42"/>
    </row>
    <row r="52" spans="1:10">
      <c r="A52" s="34"/>
      <c r="B52" s="22"/>
      <c r="C52" s="23"/>
      <c r="D52" s="23"/>
      <c r="E52" s="23"/>
      <c r="F52" s="23"/>
      <c r="G52" s="23"/>
      <c r="H52" s="41"/>
      <c r="J52" s="45"/>
    </row>
    <row r="53" spans="1:10" ht="14">
      <c r="A53" s="37" t="s">
        <v>67</v>
      </c>
      <c r="B53" s="26">
        <f>SUM(B22:B51)-B47-B48</f>
        <v>314.40899999999993</v>
      </c>
      <c r="C53" s="26">
        <f t="shared" ref="C53:G53" si="7">SUM(C22:C51)-C47-C48</f>
        <v>1224.21</v>
      </c>
      <c r="D53" s="26">
        <f t="shared" si="7"/>
        <v>765.06100000000015</v>
      </c>
      <c r="E53" s="26">
        <f t="shared" si="7"/>
        <v>1225.6709999999998</v>
      </c>
      <c r="F53" s="26">
        <f t="shared" si="7"/>
        <v>876.77700000000004</v>
      </c>
      <c r="G53" s="26">
        <f t="shared" si="7"/>
        <v>1124.2550000000001</v>
      </c>
      <c r="H53" s="26">
        <f t="shared" si="5"/>
        <v>5530.3830000000007</v>
      </c>
      <c r="J53" s="46"/>
    </row>
    <row r="54" spans="1:10">
      <c r="A54" s="36"/>
      <c r="B54" s="23"/>
      <c r="C54" s="23"/>
      <c r="D54" s="23"/>
      <c r="E54" s="23"/>
      <c r="F54" s="23"/>
      <c r="G54" s="23"/>
      <c r="H54" s="23"/>
      <c r="J54" s="46"/>
    </row>
    <row r="55" spans="1:10">
      <c r="A55" s="38" t="s">
        <v>68</v>
      </c>
      <c r="B55" s="39">
        <f t="shared" ref="B55:G55" si="8">B4+B19-B53</f>
        <v>1300.43</v>
      </c>
      <c r="C55" s="39">
        <f t="shared" si="8"/>
        <v>1550.4690000000001</v>
      </c>
      <c r="D55" s="39">
        <f t="shared" si="8"/>
        <v>1909.6460000000002</v>
      </c>
      <c r="E55" s="39">
        <f t="shared" si="8"/>
        <v>1505.7710000000002</v>
      </c>
      <c r="F55" s="39">
        <f t="shared" si="8"/>
        <v>1374.4930000000004</v>
      </c>
      <c r="G55" s="39">
        <f t="shared" si="8"/>
        <v>1333.8240000000005</v>
      </c>
      <c r="H55" s="40">
        <f>G55</f>
        <v>1333.8240000000005</v>
      </c>
      <c r="J55" s="46"/>
    </row>
    <row r="56" spans="1:10">
      <c r="A56" s="3"/>
      <c r="B56" s="29"/>
      <c r="C56" s="25"/>
      <c r="D56" s="25"/>
      <c r="E56" s="25"/>
      <c r="F56" s="25"/>
      <c r="G56" s="25"/>
      <c r="H56" s="25"/>
    </row>
    <row r="57" spans="1:10">
      <c r="A57" s="4" t="s">
        <v>69</v>
      </c>
      <c r="B57" s="30"/>
      <c r="C57" s="25"/>
      <c r="D57" s="25"/>
      <c r="E57" s="25"/>
      <c r="F57" s="25"/>
      <c r="G57" s="25"/>
      <c r="H57" s="25"/>
    </row>
    <row r="58" spans="1:10">
      <c r="A58" s="5" t="s">
        <v>70</v>
      </c>
      <c r="B58" s="31"/>
      <c r="C58" s="25"/>
      <c r="D58" s="25"/>
      <c r="E58" s="25"/>
      <c r="F58" s="25"/>
      <c r="G58" s="25"/>
      <c r="H58" s="25"/>
    </row>
    <row r="59" spans="1:10">
      <c r="A59" s="5" t="s">
        <v>71</v>
      </c>
      <c r="B59" s="31"/>
      <c r="C59" s="25"/>
      <c r="D59" s="25"/>
      <c r="E59" s="25"/>
      <c r="F59" s="25"/>
      <c r="G59" s="25"/>
      <c r="H59" s="25"/>
    </row>
    <row r="60" spans="1:10" ht="26">
      <c r="A60" s="6" t="s">
        <v>72</v>
      </c>
      <c r="B60" s="32"/>
      <c r="C60" s="25"/>
      <c r="D60" s="25"/>
      <c r="E60" s="25"/>
      <c r="F60" s="25"/>
      <c r="G60" s="25"/>
      <c r="H60" s="25"/>
    </row>
  </sheetData>
  <sheetCalcPr fullCalcOnLoad="1"/>
  <mergeCells count="1">
    <mergeCell ref="J1:K2"/>
  </mergeCells>
  <phoneticPr fontId="6" type="noConversion"/>
  <pageMargins left="0.75196850393700787" right="0.75196850393700787" top="1" bottom="1" header="0.5" footer="0.5"/>
  <pageSetup paperSize="0" scale="65" orientation="portrait" horizontalDpi="4294967292" verticalDpi="4294967292"/>
  <extLst>
    <ext xmlns:mx="http://schemas.microsoft.com/office/mac/excel/2008/main" uri="http://schemas.microsoft.com/office/mac/excel/2008/main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AP20"/>
  <sheetViews>
    <sheetView tabSelected="1" zoomScale="200" workbookViewId="0">
      <selection activeCell="I27" sqref="I27"/>
    </sheetView>
  </sheetViews>
  <sheetFormatPr baseColWidth="10" defaultRowHeight="13" outlineLevelCol="1"/>
  <cols>
    <col min="1" max="1" width="31.140625" customWidth="1"/>
    <col min="2" max="2" width="6.28515625" hidden="1" customWidth="1" outlineLevel="1"/>
    <col min="3" max="3" width="8.42578125" hidden="1" customWidth="1" outlineLevel="1"/>
    <col min="4" max="7" width="0" hidden="1" customWidth="1" outlineLevel="1"/>
    <col min="8" max="8" width="10.7109375" collapsed="1"/>
    <col min="16" max="16" width="10.7109375" collapsed="1"/>
    <col min="24" max="24" width="10.7109375" collapsed="1"/>
    <col min="34" max="34" width="10.7109375" collapsed="1"/>
    <col min="42" max="42" width="10.7109375" collapsed="1"/>
  </cols>
  <sheetData>
    <row r="1" spans="1:15" ht="46" customHeight="1">
      <c r="A1" s="89" t="s">
        <v>2</v>
      </c>
      <c r="B1" s="90"/>
      <c r="C1" s="90"/>
      <c r="D1" s="90"/>
      <c r="E1" s="90"/>
      <c r="F1" s="90"/>
      <c r="G1" s="90"/>
      <c r="H1" s="90"/>
      <c r="I1" s="67"/>
      <c r="J1" s="67"/>
      <c r="K1" s="67"/>
      <c r="L1" s="67"/>
      <c r="M1" s="67"/>
      <c r="N1" s="67"/>
      <c r="O1" s="67"/>
    </row>
    <row r="2" spans="1:15" s="69" customFormat="1">
      <c r="A2" s="80"/>
      <c r="B2" s="80"/>
      <c r="C2" s="68">
        <v>41851</v>
      </c>
      <c r="D2" s="68">
        <v>41882</v>
      </c>
      <c r="E2" s="68">
        <v>41912</v>
      </c>
      <c r="F2" s="68">
        <v>41943</v>
      </c>
      <c r="G2" s="68">
        <v>41973</v>
      </c>
      <c r="H2" s="68" t="s">
        <v>1</v>
      </c>
      <c r="I2" s="81"/>
      <c r="J2" s="68"/>
      <c r="K2" s="68"/>
      <c r="L2" s="68"/>
      <c r="M2" s="68"/>
      <c r="N2" s="68"/>
      <c r="O2" s="68"/>
    </row>
    <row r="3" spans="1:15" s="72" customFormat="1">
      <c r="A3" s="70" t="s">
        <v>10</v>
      </c>
      <c r="B3" s="71"/>
      <c r="C3" s="71"/>
      <c r="D3" s="71"/>
      <c r="E3" s="71"/>
      <c r="F3" s="71"/>
      <c r="G3" s="71"/>
      <c r="H3" s="71">
        <v>3</v>
      </c>
      <c r="I3" s="82"/>
      <c r="J3" s="71"/>
      <c r="K3" s="71"/>
      <c r="L3" s="71"/>
      <c r="M3" s="71"/>
      <c r="N3" s="71"/>
      <c r="O3" s="71"/>
    </row>
    <row r="4" spans="1:15" s="76" customFormat="1">
      <c r="A4" s="73" t="s">
        <v>11</v>
      </c>
      <c r="B4" s="74">
        <v>436</v>
      </c>
      <c r="C4" s="74">
        <f>B18</f>
        <v>512.75699999999995</v>
      </c>
      <c r="D4" s="74">
        <f>C18</f>
        <v>729.09899999999993</v>
      </c>
      <c r="E4" s="74">
        <f>D18</f>
        <v>761.59799999999984</v>
      </c>
      <c r="F4" s="74">
        <f>E18</f>
        <v>783.47399999999982</v>
      </c>
      <c r="G4" s="74">
        <f>F18</f>
        <v>729.08599999999979</v>
      </c>
      <c r="H4" s="74">
        <f>B4</f>
        <v>436</v>
      </c>
      <c r="I4" s="83"/>
      <c r="J4" s="74"/>
      <c r="K4" s="74"/>
      <c r="L4" s="74"/>
      <c r="M4" s="74"/>
      <c r="N4" s="74"/>
      <c r="O4" s="74"/>
    </row>
    <row r="5" spans="1:15">
      <c r="A5" s="73" t="s">
        <v>12</v>
      </c>
      <c r="B5" s="55"/>
      <c r="C5" s="55"/>
      <c r="D5" s="55"/>
      <c r="E5" s="55"/>
      <c r="F5" s="55"/>
      <c r="G5" s="55"/>
      <c r="H5" s="55"/>
      <c r="I5" s="84"/>
      <c r="J5" s="55"/>
      <c r="K5" s="55"/>
      <c r="L5" s="55"/>
      <c r="M5" s="55"/>
      <c r="N5" s="55"/>
      <c r="O5" s="55"/>
    </row>
    <row r="6" spans="1:15">
      <c r="A6" s="8" t="s">
        <v>3</v>
      </c>
      <c r="B6" s="55">
        <v>60</v>
      </c>
      <c r="C6" s="55">
        <v>143.67400000000001</v>
      </c>
      <c r="D6" s="55">
        <f>137.8</f>
        <v>137.80000000000001</v>
      </c>
      <c r="E6" s="55">
        <f>84+2</f>
        <v>86</v>
      </c>
      <c r="F6" s="55">
        <v>37.5</v>
      </c>
      <c r="G6" s="55">
        <f>27+6</f>
        <v>33</v>
      </c>
      <c r="H6" s="55">
        <f>SUM(B6:G6)</f>
        <v>497.97400000000005</v>
      </c>
      <c r="I6" s="85"/>
      <c r="J6" s="55"/>
      <c r="K6" s="55"/>
      <c r="L6" s="55"/>
      <c r="M6" s="55"/>
      <c r="N6" s="55"/>
      <c r="O6" s="55"/>
    </row>
    <row r="7" spans="1:15">
      <c r="A7" s="8" t="s">
        <v>4</v>
      </c>
      <c r="B7" s="55">
        <v>60</v>
      </c>
      <c r="C7" s="55">
        <f>70+37+70</f>
        <v>177</v>
      </c>
      <c r="D7" s="55"/>
      <c r="E7" s="55"/>
      <c r="F7" s="55"/>
      <c r="G7" s="55"/>
      <c r="H7" s="55">
        <f>SUM(B7:G7)</f>
        <v>237</v>
      </c>
      <c r="I7" s="85"/>
      <c r="J7" s="55"/>
      <c r="K7" s="55"/>
      <c r="L7" s="55"/>
      <c r="M7" s="55"/>
      <c r="N7" s="55"/>
      <c r="O7" s="55"/>
    </row>
    <row r="8" spans="1:15" s="76" customFormat="1" ht="14">
      <c r="A8" s="19" t="s">
        <v>13</v>
      </c>
      <c r="B8" s="75">
        <f t="shared" ref="B8:G8" si="0">B6+B7</f>
        <v>120</v>
      </c>
      <c r="C8" s="75">
        <f t="shared" si="0"/>
        <v>320.67399999999998</v>
      </c>
      <c r="D8" s="75">
        <f t="shared" si="0"/>
        <v>137.80000000000001</v>
      </c>
      <c r="E8" s="75">
        <f t="shared" si="0"/>
        <v>86</v>
      </c>
      <c r="F8" s="75">
        <f t="shared" si="0"/>
        <v>37.5</v>
      </c>
      <c r="G8" s="75">
        <f t="shared" si="0"/>
        <v>33</v>
      </c>
      <c r="H8" s="75">
        <f>SUM(B8:G8)</f>
        <v>734.97399999999993</v>
      </c>
      <c r="I8" s="86"/>
      <c r="J8" s="75"/>
      <c r="K8" s="75"/>
      <c r="L8" s="75"/>
      <c r="M8" s="75"/>
      <c r="N8" s="75"/>
      <c r="O8" s="75"/>
    </row>
    <row r="9" spans="1:15">
      <c r="A9" s="77"/>
      <c r="B9" s="55"/>
      <c r="C9" s="55"/>
      <c r="D9" s="55"/>
      <c r="E9" s="55"/>
      <c r="F9" s="55"/>
      <c r="G9" s="55"/>
      <c r="H9" s="55"/>
      <c r="I9" s="85"/>
      <c r="J9" s="55"/>
      <c r="K9" s="55"/>
      <c r="L9" s="55"/>
      <c r="M9" s="55"/>
      <c r="N9" s="55"/>
      <c r="O9" s="55"/>
    </row>
    <row r="10" spans="1:15">
      <c r="A10" s="73" t="s">
        <v>24</v>
      </c>
      <c r="B10" s="55"/>
      <c r="C10" s="55"/>
      <c r="D10" s="55"/>
      <c r="E10" s="55"/>
      <c r="F10" s="55"/>
      <c r="G10" s="55"/>
      <c r="H10" s="55"/>
      <c r="I10" s="85"/>
      <c r="J10" s="55"/>
      <c r="K10" s="55"/>
      <c r="L10" s="55"/>
      <c r="M10" s="55"/>
      <c r="N10" s="55"/>
      <c r="O10" s="55"/>
    </row>
    <row r="11" spans="1:15">
      <c r="A11" s="77" t="s">
        <v>14</v>
      </c>
      <c r="B11" s="55">
        <v>22.21</v>
      </c>
      <c r="C11" s="55">
        <f>28.42+14.972</f>
        <v>43.392000000000003</v>
      </c>
      <c r="D11" s="55">
        <v>28.42</v>
      </c>
      <c r="E11" s="55">
        <v>28.42</v>
      </c>
      <c r="F11" s="55">
        <v>28.42</v>
      </c>
      <c r="G11" s="55">
        <v>28.42</v>
      </c>
      <c r="H11" s="55">
        <f>SUM(B11:G11)</f>
        <v>179.28200000000004</v>
      </c>
      <c r="I11" s="87"/>
      <c r="J11" s="55"/>
      <c r="K11" s="55"/>
      <c r="L11" s="55"/>
      <c r="M11" s="55"/>
      <c r="N11" s="55"/>
      <c r="O11" s="55"/>
    </row>
    <row r="12" spans="1:15">
      <c r="A12" s="77" t="s">
        <v>15</v>
      </c>
      <c r="B12" s="55">
        <f>'[1] ЭЭ'!AH6</f>
        <v>21.033000000000001</v>
      </c>
      <c r="C12" s="55">
        <f>'[1] ЭЭ'!AI6</f>
        <v>7.63</v>
      </c>
      <c r="D12" s="55">
        <f>'[1] ЭЭ'!AJ6</f>
        <v>7.4790000000000001</v>
      </c>
      <c r="E12" s="55">
        <f>'[1] ЭЭ'!AK6</f>
        <v>10.611000000000001</v>
      </c>
      <c r="F12" s="55">
        <f>'[1] ЭЭ'!AL6</f>
        <v>10.167999999999999</v>
      </c>
      <c r="G12" s="55">
        <f>'[1] ЭЭ'!AM6</f>
        <v>16.100000000000001</v>
      </c>
      <c r="H12" s="55">
        <f>SUM(B12:G12)</f>
        <v>73.021000000000001</v>
      </c>
      <c r="I12" s="87"/>
      <c r="J12" s="55"/>
      <c r="K12" s="55"/>
      <c r="L12" s="55"/>
      <c r="M12" s="55"/>
      <c r="N12" s="55"/>
      <c r="O12" s="55"/>
    </row>
    <row r="13" spans="1:15">
      <c r="A13" s="77" t="s">
        <v>16</v>
      </c>
      <c r="B13" s="55"/>
      <c r="C13" s="55">
        <v>50.31</v>
      </c>
      <c r="D13" s="55"/>
      <c r="E13" s="55"/>
      <c r="F13" s="55">
        <v>50.8</v>
      </c>
      <c r="G13" s="55">
        <v>50.8</v>
      </c>
      <c r="H13" s="55">
        <f>SUM(B13:G13)</f>
        <v>151.91</v>
      </c>
      <c r="I13" s="87"/>
      <c r="J13" s="55"/>
      <c r="K13" s="55"/>
      <c r="L13" s="55"/>
      <c r="M13" s="55"/>
      <c r="N13" s="55"/>
      <c r="O13" s="55"/>
    </row>
    <row r="14" spans="1:15">
      <c r="A14" s="77" t="s">
        <v>17</v>
      </c>
      <c r="B14" s="55"/>
      <c r="C14" s="55">
        <v>3</v>
      </c>
      <c r="D14" s="55">
        <f>50</f>
        <v>50</v>
      </c>
      <c r="E14" s="55">
        <f>7.41+2.69+9.993+5</f>
        <v>25.093</v>
      </c>
      <c r="F14" s="55">
        <v>2.5</v>
      </c>
      <c r="G14" s="78">
        <f>3.6+22.09</f>
        <v>25.69</v>
      </c>
      <c r="H14" s="55">
        <f>SUM(B14:G14)</f>
        <v>106.283</v>
      </c>
      <c r="I14" s="87"/>
      <c r="J14" s="55"/>
      <c r="K14" s="55"/>
      <c r="L14" s="55"/>
      <c r="M14" s="55"/>
      <c r="N14" s="55"/>
      <c r="O14" s="55"/>
    </row>
    <row r="15" spans="1:15">
      <c r="A15" s="77" t="s">
        <v>18</v>
      </c>
      <c r="B15" s="55"/>
      <c r="C15" s="55"/>
      <c r="D15" s="55">
        <v>19.402000000000001</v>
      </c>
      <c r="E15" s="55"/>
      <c r="F15" s="55"/>
      <c r="G15" s="78"/>
      <c r="H15" s="55">
        <f>SUM(B15:G15)</f>
        <v>19.402000000000001</v>
      </c>
      <c r="I15" s="87"/>
      <c r="J15" s="55"/>
      <c r="K15" s="55"/>
      <c r="L15" s="55"/>
      <c r="M15" s="55"/>
      <c r="N15" s="55"/>
      <c r="O15" s="55"/>
    </row>
    <row r="16" spans="1:15" s="76" customFormat="1" ht="14">
      <c r="A16" s="19" t="s">
        <v>19</v>
      </c>
      <c r="B16" s="75">
        <f>SUM(B11:B15)</f>
        <v>43.243000000000002</v>
      </c>
      <c r="C16" s="75">
        <f>SUM(C11:C15)</f>
        <v>104.33200000000001</v>
      </c>
      <c r="D16" s="75">
        <f>SUM(D11:D15)</f>
        <v>105.301</v>
      </c>
      <c r="E16" s="75">
        <f>SUM(E11:E15)</f>
        <v>64.124000000000009</v>
      </c>
      <c r="F16" s="75">
        <f>SUM(F11:F15)</f>
        <v>91.888000000000005</v>
      </c>
      <c r="G16" s="75">
        <f>SUM(G11:G15)</f>
        <v>121.00999999999999</v>
      </c>
      <c r="H16" s="79">
        <f>SUM(B16:G16)</f>
        <v>529.89800000000002</v>
      </c>
      <c r="I16" s="88"/>
      <c r="J16" s="75"/>
      <c r="K16" s="75"/>
      <c r="L16" s="75"/>
      <c r="M16" s="75"/>
      <c r="N16" s="75"/>
      <c r="O16" s="75"/>
    </row>
    <row r="17" spans="1:15">
      <c r="A17" s="77"/>
      <c r="B17" s="55"/>
      <c r="C17" s="55"/>
      <c r="D17" s="55"/>
      <c r="E17" s="55"/>
      <c r="F17" s="55"/>
      <c r="G17" s="55"/>
      <c r="H17" s="55"/>
      <c r="I17" s="84"/>
      <c r="J17" s="55"/>
      <c r="K17" s="55"/>
      <c r="L17" s="55"/>
      <c r="M17" s="55"/>
      <c r="N17" s="55"/>
      <c r="O17" s="55"/>
    </row>
    <row r="18" spans="1:15">
      <c r="A18" s="73" t="s">
        <v>0</v>
      </c>
      <c r="B18" s="74">
        <f>B4+B8-B16</f>
        <v>512.75699999999995</v>
      </c>
      <c r="C18" s="74">
        <f>C4+C8-C16</f>
        <v>729.09899999999993</v>
      </c>
      <c r="D18" s="74">
        <f>D4+D8-D16</f>
        <v>761.59799999999984</v>
      </c>
      <c r="E18" s="74">
        <f>E4+E8-E16</f>
        <v>783.47399999999982</v>
      </c>
      <c r="F18" s="74">
        <f>F4+F8-F16</f>
        <v>729.08599999999979</v>
      </c>
      <c r="G18" s="74">
        <f>G4+G8-G16</f>
        <v>641.07599999999979</v>
      </c>
      <c r="H18" s="74">
        <f>G18</f>
        <v>641.07599999999979</v>
      </c>
      <c r="I18" s="83"/>
      <c r="J18" s="74"/>
      <c r="K18" s="74"/>
      <c r="L18" s="74"/>
      <c r="M18" s="74"/>
      <c r="N18" s="74"/>
      <c r="O18" s="74"/>
    </row>
    <row r="19" spans="1:15">
      <c r="A19" s="20" t="s">
        <v>5</v>
      </c>
      <c r="B19" s="55"/>
      <c r="C19" s="55"/>
      <c r="D19" s="55"/>
      <c r="E19" s="55"/>
      <c r="F19" s="55"/>
      <c r="G19" s="55"/>
      <c r="H19" s="55">
        <v>500</v>
      </c>
      <c r="I19" s="84"/>
      <c r="J19" s="55"/>
      <c r="K19" s="55"/>
      <c r="L19" s="55"/>
      <c r="M19" s="55"/>
      <c r="N19" s="55"/>
      <c r="O19" s="55"/>
    </row>
    <row r="20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</sheetData>
  <mergeCells count="1">
    <mergeCell ref="A1:H1"/>
  </mergeCells>
  <phoneticPr fontId="6" type="noConversion"/>
  <pageMargins left="0.75196850393700787" right="0.75196850393700787" top="1" bottom="1" header="0.5" footer="0.5"/>
  <pageSetup paperSize="0" scale="59" orientation="portrait" horizontalDpi="4294967292" verticalDpi="4294967292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Все финансы</vt:lpstr>
      <vt:lpstr>Зимняя вода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2019-02-08T13:10:02Z</cp:lastPrinted>
  <dcterms:created xsi:type="dcterms:W3CDTF">2019-02-08T07:59:14Z</dcterms:created>
  <dcterms:modified xsi:type="dcterms:W3CDTF">2019-02-08T13:56:58Z</dcterms:modified>
</cp:coreProperties>
</file>